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B\Desktop\COD FISCAL\"/>
    </mc:Choice>
  </mc:AlternateContent>
  <bookViews>
    <workbookView xWindow="0" yWindow="0" windowWidth="14380" windowHeight="3500" xr2:uid="{00000000-000D-0000-FFFF-FFFF00000000}"/>
  </bookViews>
  <sheets>
    <sheet name="Simulator" sheetId="1" r:id="rId1"/>
    <sheet name="Calcul_deduceri" sheetId="2" r:id="rId2"/>
    <sheet name="Calcul_deduceri (2)" sheetId="10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S12" i="1" l="1"/>
  <c r="S11" i="1"/>
  <c r="K12" i="1" l="1"/>
  <c r="J28" i="1" l="1"/>
  <c r="J29" i="1"/>
  <c r="J30" i="1"/>
  <c r="J31" i="1"/>
  <c r="J32" i="1"/>
  <c r="J27" i="1"/>
  <c r="J16" i="1"/>
  <c r="J17" i="1"/>
  <c r="J24" i="1"/>
  <c r="J15" i="1"/>
  <c r="I36" i="1"/>
  <c r="I37" i="1"/>
  <c r="I38" i="1"/>
  <c r="I39" i="1"/>
  <c r="I35" i="1"/>
  <c r="I24" i="1"/>
  <c r="I25" i="1"/>
  <c r="I27" i="1"/>
  <c r="I28" i="1"/>
  <c r="I29" i="1"/>
  <c r="I30" i="1"/>
  <c r="I31" i="1"/>
  <c r="I32" i="1"/>
  <c r="I12" i="1"/>
  <c r="I13" i="1"/>
  <c r="I15" i="1"/>
  <c r="I16" i="1"/>
  <c r="I17" i="1"/>
  <c r="I18" i="1"/>
  <c r="I20" i="1"/>
  <c r="I21" i="1"/>
  <c r="I22" i="1"/>
  <c r="I23" i="1"/>
  <c r="I11" i="1"/>
  <c r="K9" i="1"/>
  <c r="J9" i="1"/>
  <c r="I8" i="1"/>
  <c r="W39" i="1"/>
  <c r="W36" i="1"/>
  <c r="W37" i="1"/>
  <c r="W38" i="1"/>
  <c r="W35" i="1"/>
  <c r="X27" i="1"/>
  <c r="W27" i="1"/>
  <c r="W25" i="1"/>
  <c r="Y9" i="1"/>
  <c r="Y8" i="1"/>
  <c r="X9" i="1"/>
  <c r="W16" i="1"/>
  <c r="W18" i="1"/>
  <c r="W20" i="1"/>
  <c r="W21" i="1"/>
  <c r="W22" i="1"/>
  <c r="W23" i="1"/>
  <c r="W24" i="1"/>
  <c r="W15" i="1"/>
  <c r="Y12" i="1"/>
  <c r="W13" i="1"/>
  <c r="W12" i="1"/>
  <c r="W11" i="1"/>
  <c r="S13" i="1"/>
  <c r="S21" i="1" l="1"/>
  <c r="T9" i="1" s="1"/>
  <c r="S27" i="1"/>
  <c r="S35" i="1" s="1"/>
  <c r="S39" i="1" s="1"/>
  <c r="E13" i="1"/>
  <c r="E21" i="1" l="1"/>
  <c r="D10" i="2"/>
  <c r="D13" i="2" l="1"/>
  <c r="F9" i="1"/>
  <c r="D12" i="2"/>
  <c r="D9" i="2"/>
  <c r="D11" i="2"/>
  <c r="E30" i="1" l="1"/>
  <c r="E9" i="2" l="1"/>
  <c r="E15" i="1"/>
  <c r="E31" i="1"/>
  <c r="E27" i="1"/>
  <c r="E29" i="1"/>
  <c r="E17" i="1"/>
  <c r="E32" i="1"/>
  <c r="E28" i="1"/>
  <c r="E16" i="1"/>
  <c r="S15" i="1"/>
  <c r="S16" i="1"/>
  <c r="E22" i="1" l="1"/>
  <c r="E23" i="1" s="1"/>
  <c r="E20" i="1"/>
  <c r="S20" i="1"/>
  <c r="E10" i="2"/>
  <c r="E12" i="2"/>
  <c r="E13" i="2"/>
  <c r="E11" i="2"/>
  <c r="E18" i="1"/>
  <c r="E35" i="1"/>
  <c r="S18" i="1"/>
  <c r="E39" i="1" l="1"/>
  <c r="S22" i="1"/>
  <c r="S23" i="1" s="1"/>
  <c r="E24" i="1"/>
  <c r="E37" i="1"/>
  <c r="E25" i="1" l="1"/>
  <c r="G25" i="1" s="1"/>
  <c r="I9" i="1" s="1"/>
  <c r="S24" i="1"/>
  <c r="S25" i="1" s="1"/>
  <c r="U25" i="1" s="1"/>
  <c r="W9" i="1" s="1"/>
  <c r="E36" i="1"/>
  <c r="E38" i="1" s="1"/>
  <c r="K13" i="1" l="1"/>
  <c r="K31" i="1" s="1"/>
  <c r="K21" i="1"/>
  <c r="D13" i="10" s="1"/>
  <c r="K11" i="1"/>
  <c r="L11" i="1" s="1"/>
  <c r="Y21" i="1"/>
  <c r="Z9" i="1" s="1"/>
  <c r="Y13" i="1"/>
  <c r="Y27" i="1" s="1"/>
  <c r="Y37" i="1" s="1"/>
  <c r="Y11" i="1"/>
  <c r="Z11" i="1" s="1"/>
  <c r="S36" i="1"/>
  <c r="S38" i="1" s="1"/>
  <c r="L9" i="1" l="1"/>
  <c r="K22" i="1" s="1"/>
  <c r="D11" i="10"/>
  <c r="D9" i="10"/>
  <c r="D12" i="10"/>
  <c r="D10" i="10"/>
  <c r="K32" i="1"/>
  <c r="K30" i="1"/>
  <c r="K28" i="1"/>
  <c r="K15" i="1"/>
  <c r="K16" i="1"/>
  <c r="K27" i="1"/>
  <c r="K17" i="1"/>
  <c r="K29" i="1"/>
  <c r="E13" i="10"/>
  <c r="E11" i="10"/>
  <c r="E12" i="10"/>
  <c r="E10" i="10"/>
  <c r="E9" i="10"/>
  <c r="Y22" i="1" s="1"/>
  <c r="Y35" i="1"/>
  <c r="Y39" i="1" s="1"/>
  <c r="Y16" i="1"/>
  <c r="Y15" i="1"/>
  <c r="K18" i="1" l="1"/>
  <c r="K20" i="1" s="1"/>
  <c r="K35" i="1"/>
  <c r="K39" i="1" s="1"/>
  <c r="K37" i="1"/>
  <c r="Y18" i="1"/>
  <c r="Y23" i="1" s="1"/>
  <c r="Y24" i="1" s="1"/>
  <c r="K23" i="1" l="1"/>
  <c r="K24" i="1" s="1"/>
  <c r="K36" i="1" s="1"/>
  <c r="K38" i="1" s="1"/>
  <c r="Y20" i="1"/>
  <c r="Y36" i="1"/>
  <c r="Y38" i="1" s="1"/>
  <c r="Y25" i="1"/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AIB</author>
  </authors>
  <commentList>
    <comment ref="D8" authorId="0" shapeId="0" xr:uid="{EE7B684C-7980-4A39-94F8-33EA31B5F57D}">
      <text>
        <r>
          <rPr>
            <b/>
            <sz val="9"/>
            <color indexed="81"/>
            <rFont val="Tahoma"/>
            <family val="2"/>
          </rPr>
          <t>x daca DA
null daca NU</t>
        </r>
      </text>
    </comment>
    <comment ref="E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Pentru mai mult de 4 persoane in intretinere populati 4
</t>
        </r>
      </text>
    </comment>
    <comment ref="J8" authorId="0" shapeId="0" xr:uid="{FC3E43D0-542B-409C-8A18-91766FB85FCF}">
      <text>
        <r>
          <rPr>
            <b/>
            <sz val="9"/>
            <color indexed="81"/>
            <rFont val="Tahoma"/>
            <family val="2"/>
          </rPr>
          <t>x daca DA
null daca NU</t>
        </r>
      </text>
    </comment>
    <comment ref="K8" authorId="0" shapeId="0" xr:uid="{B6F9BA41-E73D-4DEA-B269-160F3D6DCF59}">
      <text>
        <r>
          <rPr>
            <sz val="9"/>
            <color indexed="81"/>
            <rFont val="Tahoma"/>
            <family val="2"/>
          </rPr>
          <t xml:space="preserve">Pentru mai mult de 4 persoane in intretinere populati 4
</t>
        </r>
      </text>
    </comment>
    <comment ref="R8" authorId="0" shapeId="0" xr:uid="{7CF88E27-2A3A-4A2D-90E3-635A173F0A0F}">
      <text>
        <r>
          <rPr>
            <b/>
            <sz val="9"/>
            <color indexed="81"/>
            <rFont val="Tahoma"/>
            <family val="2"/>
          </rPr>
          <t>x daca DA
null daca NU</t>
        </r>
      </text>
    </comment>
    <comment ref="S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Pentru mai mult de 4 persoane in intretinere populati 4
</t>
        </r>
      </text>
    </comment>
    <comment ref="X8" authorId="0" shapeId="0" xr:uid="{B3ABB81E-1731-4E3A-AFAC-6BCDFB37CDD9}">
      <text>
        <r>
          <rPr>
            <b/>
            <sz val="9"/>
            <color indexed="81"/>
            <rFont val="Tahoma"/>
            <family val="2"/>
          </rPr>
          <t>x daca DA
null daca NU</t>
        </r>
      </text>
    </comment>
    <comment ref="Y8" authorId="0" shapeId="0" xr:uid="{AC784EDA-9A94-411F-9111-9E68393C63DA}">
      <text>
        <r>
          <rPr>
            <sz val="9"/>
            <color indexed="81"/>
            <rFont val="Tahoma"/>
            <family val="2"/>
          </rPr>
          <t>Pentru mai mult de 4 persoane in intretinere populati 4</t>
        </r>
      </text>
    </comment>
    <comment ref="L11" authorId="0" shapeId="0" xr:uid="{BB04C67B-300A-44FE-8B18-A51C5C285EF3}">
      <text>
        <r>
          <rPr>
            <b/>
            <sz val="9"/>
            <color indexed="81"/>
            <rFont val="Tahoma"/>
            <family val="2"/>
          </rPr>
          <t>AIB:</t>
        </r>
        <r>
          <rPr>
            <sz val="9"/>
            <color indexed="81"/>
            <rFont val="Tahoma"/>
            <family val="2"/>
          </rPr>
          <t xml:space="preserve">
reprezinta prima bruta suplimentara aferenta primei nete din celula G25</t>
        </r>
      </text>
    </comment>
    <comment ref="Z11" authorId="0" shapeId="0" xr:uid="{8AD1912D-F871-468E-B1F2-FD20B38A88A3}">
      <text>
        <r>
          <rPr>
            <b/>
            <sz val="9"/>
            <color indexed="81"/>
            <rFont val="Tahoma"/>
            <family val="2"/>
          </rPr>
          <t>AIB:</t>
        </r>
        <r>
          <rPr>
            <sz val="9"/>
            <color indexed="81"/>
            <rFont val="Tahoma"/>
            <family val="2"/>
          </rPr>
          <t xml:space="preserve">
reprezinta prima bruta suplimentara aferenta primei nete din celula T25</t>
        </r>
      </text>
    </comment>
  </commentList>
</comments>
</file>

<file path=xl/sharedStrings.xml><?xml version="1.0" encoding="utf-8"?>
<sst xmlns="http://schemas.openxmlformats.org/spreadsheetml/2006/main" count="113" uniqueCount="57">
  <si>
    <t>Sanatate</t>
  </si>
  <si>
    <t>Rest de plata</t>
  </si>
  <si>
    <t>Total cost companie</t>
  </si>
  <si>
    <t>CAS individual</t>
  </si>
  <si>
    <t>CASS</t>
  </si>
  <si>
    <t>FNUASS</t>
  </si>
  <si>
    <t>Fond de risc si accidente</t>
  </si>
  <si>
    <t>Plafon 1</t>
  </si>
  <si>
    <t>fara persoane in intretinere</t>
  </si>
  <si>
    <t>1 persoana in intretinere</t>
  </si>
  <si>
    <t>2 persoane in intretinere</t>
  </si>
  <si>
    <t>3 persoane in intretinere</t>
  </si>
  <si>
    <t>4 +persoane in intretinere</t>
  </si>
  <si>
    <t>Plafon 2</t>
  </si>
  <si>
    <t>Baza calcul impozit</t>
  </si>
  <si>
    <t>Tichete de masa</t>
  </si>
  <si>
    <t>x</t>
  </si>
  <si>
    <t>x0</t>
  </si>
  <si>
    <t>x1</t>
  </si>
  <si>
    <t>x2</t>
  </si>
  <si>
    <t>x3</t>
  </si>
  <si>
    <t>x4</t>
  </si>
  <si>
    <t>x5</t>
  </si>
  <si>
    <t>xx0</t>
  </si>
  <si>
    <t>xx1</t>
  </si>
  <si>
    <t>xx2</t>
  </si>
  <si>
    <t>xx3</t>
  </si>
  <si>
    <t>xx4</t>
  </si>
  <si>
    <t>Functie baza</t>
  </si>
  <si>
    <t>Nr pers</t>
  </si>
  <si>
    <t>Impozit venit</t>
  </si>
  <si>
    <t>Contributie Asiguratorie de munca</t>
  </si>
  <si>
    <t>Prima bruta</t>
  </si>
  <si>
    <t>Venit brut baza calcul contributii</t>
  </si>
  <si>
    <t>Venit brut baza calcul deducere</t>
  </si>
  <si>
    <t>Total contributii angajat</t>
  </si>
  <si>
    <t>Venit net fara tichete</t>
  </si>
  <si>
    <t>Salariu brut</t>
  </si>
  <si>
    <t>Total Retineri angajat</t>
  </si>
  <si>
    <t>Total Retineri angajator</t>
  </si>
  <si>
    <t>Total de plata BS si BASS</t>
  </si>
  <si>
    <t>Somaj</t>
  </si>
  <si>
    <t>CAS conditii normale de lucru</t>
  </si>
  <si>
    <t>Fond creante salariale</t>
  </si>
  <si>
    <t>Deducere personala functie de baza</t>
  </si>
  <si>
    <t>Cod</t>
  </si>
  <si>
    <t>fara functie de baza</t>
  </si>
  <si>
    <t>Simulator salarii 2017 vs 2018</t>
  </si>
  <si>
    <t>Prima neta</t>
  </si>
  <si>
    <t>Venit brut nou</t>
  </si>
  <si>
    <t>Total cost companie fara tichete masa</t>
  </si>
  <si>
    <t>Total cost cu tichete de masa</t>
  </si>
  <si>
    <t>Net final</t>
  </si>
  <si>
    <t>din care:</t>
  </si>
  <si>
    <t>Calcul pentru prima neta</t>
  </si>
  <si>
    <t>Calcul pentru prima neta:</t>
  </si>
  <si>
    <t>!Nu interveniti manual decat in celulel marcate cu portocaliu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</si>
</sst>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8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3" fontId="3" fillId="7" borderId="1" xfId="0" applyNumberFormat="1" applyFont="1" applyFill="1" applyBorder="1" applyAlignment="1">
      <alignment horizontal="left"/>
    </xf>
    <xf numFmtId="0" fontId="2" fillId="5" borderId="3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2" fillId="5" borderId="0" xfId="0" applyFont="1" applyFill="1" applyBorder="1"/>
    <xf numFmtId="3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vertical="center" wrapText="1"/>
    </xf>
    <xf numFmtId="10" fontId="2" fillId="5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3" fontId="9" fillId="8" borderId="1" xfId="0" applyNumberFormat="1" applyFont="1" applyFill="1" applyBorder="1" applyAlignment="1">
      <alignment horizontal="left"/>
    </xf>
    <xf numFmtId="0" fontId="9" fillId="8" borderId="1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/>
    <xf numFmtId="3" fontId="9" fillId="8" borderId="2" xfId="0" applyNumberFormat="1" applyFont="1" applyFill="1" applyBorder="1" applyAlignment="1">
      <alignment horizontal="center"/>
    </xf>
    <xf numFmtId="0" fontId="10" fillId="5" borderId="0" xfId="0" applyFont="1" applyFill="1" applyBorder="1"/>
    <xf numFmtId="3" fontId="10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vertical="center" wrapText="1"/>
    </xf>
    <xf numFmtId="10" fontId="10" fillId="5" borderId="0" xfId="0" applyNumberFormat="1" applyFont="1" applyFill="1" applyBorder="1" applyAlignment="1">
      <alignment horizontal="center"/>
    </xf>
    <xf numFmtId="1" fontId="10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3" fontId="11" fillId="5" borderId="7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/>
    <xf numFmtId="1" fontId="2" fillId="5" borderId="0" xfId="1" applyNumberFormat="1" applyFont="1" applyFill="1" applyBorder="1" applyAlignment="1">
      <alignment horizontal="center"/>
    </xf>
    <xf numFmtId="10" fontId="2" fillId="5" borderId="0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5" borderId="0" xfId="0" applyNumberFormat="1" applyFont="1" applyFill="1" applyBorder="1" applyAlignment="1">
      <alignment horizontal="center"/>
    </xf>
    <xf numFmtId="9" fontId="2" fillId="5" borderId="0" xfId="0" applyNumberFormat="1" applyFont="1" applyFill="1" applyBorder="1" applyAlignment="1">
      <alignment horizontal="center"/>
    </xf>
    <xf numFmtId="3" fontId="2" fillId="5" borderId="0" xfId="0" applyNumberFormat="1" applyFont="1" applyFill="1" applyBorder="1"/>
    <xf numFmtId="0" fontId="6" fillId="3" borderId="0" xfId="0" applyFont="1" applyFill="1" applyBorder="1"/>
    <xf numFmtId="9" fontId="6" fillId="3" borderId="0" xfId="0" applyNumberFormat="1" applyFont="1" applyFill="1" applyBorder="1" applyAlignment="1">
      <alignment horizontal="center"/>
    </xf>
    <xf numFmtId="4" fontId="2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/>
    <xf numFmtId="0" fontId="9" fillId="5" borderId="7" xfId="0" applyFont="1" applyFill="1" applyBorder="1" applyAlignment="1">
      <alignment horizontal="center"/>
    </xf>
    <xf numFmtId="9" fontId="10" fillId="5" borderId="0" xfId="0" applyNumberFormat="1" applyFont="1" applyFill="1" applyBorder="1" applyAlignment="1">
      <alignment horizontal="center"/>
    </xf>
    <xf numFmtId="3" fontId="10" fillId="5" borderId="0" xfId="0" applyNumberFormat="1" applyFont="1" applyFill="1" applyBorder="1"/>
    <xf numFmtId="0" fontId="9" fillId="5" borderId="0" xfId="0" applyFont="1" applyFill="1" applyBorder="1"/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3" fontId="3" fillId="9" borderId="1" xfId="1" applyNumberFormat="1" applyFont="1" applyFill="1" applyBorder="1" applyAlignment="1">
      <alignment horizontal="center"/>
    </xf>
    <xf numFmtId="3" fontId="12" fillId="8" borderId="1" xfId="0" applyNumberFormat="1" applyFont="1" applyFill="1" applyBorder="1" applyAlignment="1">
      <alignment horizontal="left"/>
    </xf>
    <xf numFmtId="3" fontId="12" fillId="8" borderId="2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"/>
  <sheetViews>
    <sheetView tabSelected="1" zoomScale="70" zoomScaleNormal="70" workbookViewId="0">
      <selection activeCell="K15" sqref="K15"/>
    </sheetView>
  </sheetViews>
  <sheetFormatPr defaultColWidth="8.7265625" defaultRowHeight="10.5" x14ac:dyDescent="0.25"/>
  <cols>
    <col min="1" max="1" width="8.7265625" style="1"/>
    <col min="2" max="2" width="3.6328125" style="1" customWidth="1"/>
    <col min="3" max="3" width="25.6328125" style="2" customWidth="1"/>
    <col min="4" max="7" width="10.6328125" style="3" customWidth="1"/>
    <col min="8" max="8" width="3.6328125" style="3" customWidth="1"/>
    <col min="9" max="9" width="25.6328125" style="3" customWidth="1"/>
    <col min="10" max="12" width="10.6328125" style="3" customWidth="1"/>
    <col min="13" max="13" width="3.6328125" style="3" customWidth="1"/>
    <col min="14" max="14" width="10.6328125" style="3" customWidth="1"/>
    <col min="15" max="16" width="3.6328125" style="3" customWidth="1"/>
    <col min="17" max="17" width="25.6328125" style="1" customWidth="1"/>
    <col min="18" max="21" width="10.6328125" style="3" customWidth="1"/>
    <col min="22" max="22" width="3.6328125" style="3" customWidth="1"/>
    <col min="23" max="23" width="25.6328125" style="1" customWidth="1"/>
    <col min="24" max="25" width="10.6328125" style="3" customWidth="1"/>
    <col min="26" max="26" width="10.6328125" style="1" customWidth="1"/>
    <col min="27" max="16384" width="8.7265625" style="1"/>
  </cols>
  <sheetData>
    <row r="1" spans="1:26" x14ac:dyDescent="0.25">
      <c r="A1" s="8"/>
      <c r="B1" s="8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7"/>
      <c r="S1" s="7"/>
      <c r="T1" s="7"/>
      <c r="U1" s="7"/>
      <c r="V1" s="7"/>
      <c r="W1" s="8"/>
      <c r="X1" s="7"/>
      <c r="Y1" s="7"/>
      <c r="Z1" s="8"/>
    </row>
    <row r="2" spans="1:26" ht="19" thickBot="1" x14ac:dyDescent="0.5">
      <c r="A2" s="8"/>
      <c r="B2" s="8"/>
      <c r="C2" s="9" t="s">
        <v>47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7"/>
      <c r="S2" s="7"/>
      <c r="T2" s="7"/>
      <c r="U2" s="7"/>
      <c r="V2" s="7"/>
      <c r="W2" s="8"/>
      <c r="X2" s="7"/>
      <c r="Y2" s="7"/>
      <c r="Z2" s="8"/>
    </row>
    <row r="3" spans="1:26" ht="13.5" thickBot="1" x14ac:dyDescent="0.35">
      <c r="A3" s="8"/>
      <c r="B3" s="8"/>
      <c r="C3" s="76" t="s">
        <v>56</v>
      </c>
      <c r="D3" s="7"/>
      <c r="F3" s="82"/>
      <c r="G3" s="7"/>
      <c r="H3" s="7"/>
      <c r="I3" s="7"/>
      <c r="J3" s="7"/>
      <c r="K3" s="7"/>
      <c r="L3" s="7"/>
      <c r="M3" s="7"/>
      <c r="N3" s="7"/>
      <c r="O3" s="7"/>
      <c r="P3" s="19"/>
      <c r="Q3" s="24"/>
      <c r="R3" s="19"/>
      <c r="S3" s="19"/>
      <c r="T3" s="19"/>
      <c r="U3" s="19"/>
      <c r="V3" s="19"/>
      <c r="W3" s="24"/>
      <c r="X3" s="19"/>
      <c r="Y3" s="19"/>
      <c r="Z3" s="24"/>
    </row>
    <row r="4" spans="1:26" ht="11" thickBot="1" x14ac:dyDescent="0.3">
      <c r="A4" s="8"/>
      <c r="B4" s="8"/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9"/>
      <c r="Q4" s="24"/>
      <c r="R4" s="19"/>
      <c r="S4" s="19"/>
      <c r="T4" s="19"/>
      <c r="U4" s="19"/>
      <c r="V4" s="19"/>
      <c r="W4" s="24"/>
      <c r="X4" s="19"/>
      <c r="Y4" s="19"/>
      <c r="Z4" s="24"/>
    </row>
    <row r="5" spans="1:26" x14ac:dyDescent="0.25">
      <c r="A5" s="8"/>
      <c r="B5" s="13"/>
      <c r="C5" s="14"/>
      <c r="D5" s="15"/>
      <c r="E5" s="15"/>
      <c r="F5" s="15"/>
      <c r="G5" s="15"/>
      <c r="H5" s="15"/>
      <c r="I5" s="15"/>
      <c r="J5" s="15"/>
      <c r="K5" s="15"/>
      <c r="L5" s="16"/>
      <c r="M5" s="7"/>
      <c r="N5" s="7"/>
      <c r="O5" s="7"/>
      <c r="P5" s="52"/>
      <c r="Q5" s="53"/>
      <c r="R5" s="15"/>
      <c r="S5" s="15"/>
      <c r="T5" s="15"/>
      <c r="U5" s="15"/>
      <c r="V5" s="15"/>
      <c r="W5" s="53"/>
      <c r="X5" s="15"/>
      <c r="Y5" s="15"/>
      <c r="Z5" s="54"/>
    </row>
    <row r="6" spans="1:26" x14ac:dyDescent="0.25">
      <c r="A6" s="8"/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7"/>
      <c r="N6" s="7"/>
      <c r="O6" s="7"/>
      <c r="P6" s="55"/>
      <c r="Q6" s="24"/>
      <c r="R6" s="19"/>
      <c r="S6" s="19"/>
      <c r="T6" s="19"/>
      <c r="U6" s="19"/>
      <c r="V6" s="19"/>
      <c r="W6" s="24"/>
      <c r="X6" s="19"/>
      <c r="Y6" s="19"/>
      <c r="Z6" s="56"/>
    </row>
    <row r="7" spans="1:26" x14ac:dyDescent="0.25">
      <c r="A7" s="8"/>
      <c r="B7" s="17"/>
      <c r="C7" s="21">
        <v>2017</v>
      </c>
      <c r="D7" s="19"/>
      <c r="E7" s="19"/>
      <c r="F7" s="19"/>
      <c r="G7" s="19"/>
      <c r="H7" s="19"/>
      <c r="I7" s="41" t="s">
        <v>55</v>
      </c>
      <c r="J7" s="19"/>
      <c r="K7" s="19"/>
      <c r="L7" s="20"/>
      <c r="M7" s="7"/>
      <c r="N7" s="7"/>
      <c r="O7" s="7"/>
      <c r="P7" s="55"/>
      <c r="Q7" s="21">
        <v>2018</v>
      </c>
      <c r="R7" s="19"/>
      <c r="S7" s="19"/>
      <c r="T7" s="19"/>
      <c r="U7" s="19"/>
      <c r="V7" s="19"/>
      <c r="W7" s="72" t="s">
        <v>54</v>
      </c>
      <c r="X7" s="19"/>
      <c r="Y7" s="19"/>
      <c r="Z7" s="56"/>
    </row>
    <row r="8" spans="1:26" ht="11" thickBot="1" x14ac:dyDescent="0.3">
      <c r="A8" s="8"/>
      <c r="B8" s="17"/>
      <c r="C8" s="18" t="s">
        <v>37</v>
      </c>
      <c r="D8" s="19" t="s">
        <v>28</v>
      </c>
      <c r="E8" s="19" t="s">
        <v>29</v>
      </c>
      <c r="F8" s="19"/>
      <c r="G8" s="19"/>
      <c r="H8" s="19"/>
      <c r="I8" s="72" t="str">
        <f>W8</f>
        <v>Venit brut nou</v>
      </c>
      <c r="J8" s="42" t="s">
        <v>28</v>
      </c>
      <c r="K8" s="42" t="s">
        <v>29</v>
      </c>
      <c r="L8" s="20"/>
      <c r="M8" s="7"/>
      <c r="N8" s="7"/>
      <c r="O8" s="7"/>
      <c r="P8" s="55"/>
      <c r="Q8" s="24" t="s">
        <v>37</v>
      </c>
      <c r="R8" s="19" t="s">
        <v>28</v>
      </c>
      <c r="S8" s="19" t="s">
        <v>29</v>
      </c>
      <c r="T8" s="19"/>
      <c r="U8" s="19"/>
      <c r="V8" s="19"/>
      <c r="W8" s="72" t="s">
        <v>49</v>
      </c>
      <c r="X8" s="42" t="s">
        <v>28</v>
      </c>
      <c r="Y8" s="42" t="str">
        <f>S8</f>
        <v>Nr pers</v>
      </c>
      <c r="Z8" s="20"/>
    </row>
    <row r="9" spans="1:26" ht="11" thickBot="1" x14ac:dyDescent="0.3">
      <c r="A9" s="8"/>
      <c r="B9" s="17"/>
      <c r="C9" s="12">
        <v>1900</v>
      </c>
      <c r="D9" s="82" t="s">
        <v>16</v>
      </c>
      <c r="E9" s="82">
        <v>0</v>
      </c>
      <c r="F9" s="19" t="str">
        <f>IF(D9="",0,(IF(E21&gt;3000,0,IF(E21&lt;=1500,CONCATENATE(D9,E9),CONCATENATE("x",D9,E9)))))</f>
        <v>xx0</v>
      </c>
      <c r="G9" s="19"/>
      <c r="H9" s="19"/>
      <c r="I9" s="39">
        <f>IF(G25+E12&gt;2104,ROUND((G25+0.16*E12)/0.7014,0),ROUND((G25-96+0.192*E12)/0.6694,0))</f>
        <v>2272</v>
      </c>
      <c r="J9" s="40" t="str">
        <f>D9</f>
        <v>x</v>
      </c>
      <c r="K9" s="40">
        <f>E9</f>
        <v>0</v>
      </c>
      <c r="L9" s="69" t="str">
        <f>IF(J9="",0,(IF(K21&gt;3000,0,IF(K21&lt;=1500,CONCATENATE(J9,K9),CONCATENATE("x",J9,K9)))))</f>
        <v>xx0</v>
      </c>
      <c r="M9" s="7"/>
      <c r="N9" s="7"/>
      <c r="O9" s="7"/>
      <c r="P9" s="55"/>
      <c r="Q9" s="12">
        <v>1900</v>
      </c>
      <c r="R9" s="82" t="s">
        <v>16</v>
      </c>
      <c r="S9" s="82">
        <v>0</v>
      </c>
      <c r="T9" s="19" t="str">
        <f>IF(R9="",0,IF(S21&gt;3600,0,IF(S21&lt;=1950,CONCATENATE(R9,S9),CONCATENATE("x",R9,S9))))</f>
        <v>xx0</v>
      </c>
      <c r="U9" s="57"/>
      <c r="V9" s="58"/>
      <c r="W9" s="78">
        <f>IF(U25+S12&gt;2114,ROUND((U25+0.1*S12)/0.585,0),ROUND(((U25-99)+0.125*S12)/0.56,0))</f>
        <v>2729</v>
      </c>
      <c r="X9" s="40" t="str">
        <f>R9</f>
        <v>x</v>
      </c>
      <c r="Y9" s="40">
        <f>S9</f>
        <v>0</v>
      </c>
      <c r="Z9" s="20" t="str">
        <f>IF(X9="",0,IF(Y21&gt;3600,0,IF(Y21&lt;=1950,CONCATENATE(R9,Y9),CONCATENATE("x",X9,Y9))))</f>
        <v>xx0</v>
      </c>
    </row>
    <row r="10" spans="1:26" x14ac:dyDescent="0.25">
      <c r="A10" s="8"/>
      <c r="B10" s="17"/>
      <c r="C10" s="22"/>
      <c r="D10" s="19"/>
      <c r="E10" s="19"/>
      <c r="F10" s="19"/>
      <c r="G10" s="19"/>
      <c r="H10" s="19"/>
      <c r="I10" s="41"/>
      <c r="J10" s="42"/>
      <c r="K10" s="42"/>
      <c r="L10" s="20"/>
      <c r="M10" s="7"/>
      <c r="N10" s="7"/>
      <c r="O10" s="7"/>
      <c r="P10" s="55"/>
      <c r="Q10" s="18"/>
      <c r="R10" s="19"/>
      <c r="S10" s="59"/>
      <c r="T10" s="19"/>
      <c r="U10" s="28"/>
      <c r="V10" s="60"/>
      <c r="W10" s="50" t="s">
        <v>53</v>
      </c>
      <c r="X10" s="19"/>
      <c r="Y10" s="59"/>
      <c r="Z10" s="20"/>
    </row>
    <row r="11" spans="1:26" x14ac:dyDescent="0.25">
      <c r="A11" s="8"/>
      <c r="B11" s="17"/>
      <c r="C11" s="23" t="s">
        <v>32</v>
      </c>
      <c r="D11" s="19"/>
      <c r="E11" s="83">
        <v>0</v>
      </c>
      <c r="F11" s="19"/>
      <c r="G11" s="19"/>
      <c r="H11" s="19"/>
      <c r="I11" s="43" t="str">
        <f>C11</f>
        <v>Prima bruta</v>
      </c>
      <c r="J11" s="42"/>
      <c r="K11" s="44">
        <f>I9-C9</f>
        <v>372</v>
      </c>
      <c r="L11" s="51">
        <f>K11-E11</f>
        <v>372</v>
      </c>
      <c r="M11" s="7"/>
      <c r="N11" s="7"/>
      <c r="O11" s="7"/>
      <c r="P11" s="55"/>
      <c r="Q11" s="18" t="s">
        <v>32</v>
      </c>
      <c r="R11" s="19"/>
      <c r="S11" s="83">
        <f>C9*0.2</f>
        <v>380</v>
      </c>
      <c r="T11" s="19"/>
      <c r="U11" s="28"/>
      <c r="V11" s="60"/>
      <c r="W11" s="50" t="str">
        <f>Q11</f>
        <v>Prima bruta</v>
      </c>
      <c r="X11" s="19"/>
      <c r="Y11" s="79">
        <f>S11+W9-Q9</f>
        <v>1209</v>
      </c>
      <c r="Z11" s="51">
        <f>Y11-S11</f>
        <v>829</v>
      </c>
    </row>
    <row r="12" spans="1:26" x14ac:dyDescent="0.25">
      <c r="A12" s="8"/>
      <c r="B12" s="17"/>
      <c r="C12" s="23" t="s">
        <v>15</v>
      </c>
      <c r="D12" s="24"/>
      <c r="E12" s="83">
        <v>0</v>
      </c>
      <c r="F12" s="19"/>
      <c r="G12" s="19"/>
      <c r="H12" s="19"/>
      <c r="I12" s="43" t="str">
        <f t="shared" ref="I12:I32" si="0">C12</f>
        <v>Tichete de masa</v>
      </c>
      <c r="J12" s="45"/>
      <c r="K12" s="44">
        <f>E12</f>
        <v>0</v>
      </c>
      <c r="L12" s="20"/>
      <c r="M12" s="7"/>
      <c r="N12" s="7"/>
      <c r="O12" s="7"/>
      <c r="P12" s="55"/>
      <c r="Q12" s="24" t="s">
        <v>15</v>
      </c>
      <c r="R12" s="19"/>
      <c r="S12" s="83">
        <f>E12</f>
        <v>0</v>
      </c>
      <c r="T12" s="19"/>
      <c r="U12" s="28"/>
      <c r="V12" s="60"/>
      <c r="W12" s="45" t="str">
        <f>Q12</f>
        <v>Tichete de masa</v>
      </c>
      <c r="X12" s="19"/>
      <c r="Y12" s="44">
        <f>S12</f>
        <v>0</v>
      </c>
      <c r="Z12" s="20"/>
    </row>
    <row r="13" spans="1:26" x14ac:dyDescent="0.25">
      <c r="A13" s="8"/>
      <c r="B13" s="17"/>
      <c r="C13" s="23" t="s">
        <v>33</v>
      </c>
      <c r="D13" s="19"/>
      <c r="E13" s="25">
        <f>C9+E11</f>
        <v>1900</v>
      </c>
      <c r="F13" s="19"/>
      <c r="G13" s="19"/>
      <c r="H13" s="19"/>
      <c r="I13" s="43" t="str">
        <f t="shared" si="0"/>
        <v>Venit brut baza calcul contributii</v>
      </c>
      <c r="J13" s="42"/>
      <c r="K13" s="46">
        <f>I9</f>
        <v>2272</v>
      </c>
      <c r="L13" s="20"/>
      <c r="M13" s="7"/>
      <c r="N13" s="7"/>
      <c r="O13" s="7"/>
      <c r="P13" s="55"/>
      <c r="Q13" s="18" t="s">
        <v>33</v>
      </c>
      <c r="R13" s="19"/>
      <c r="S13" s="25">
        <f>Q9+S11</f>
        <v>2280</v>
      </c>
      <c r="T13" s="19"/>
      <c r="U13" s="28"/>
      <c r="V13" s="60"/>
      <c r="W13" s="50" t="str">
        <f>Q13</f>
        <v>Venit brut baza calcul contributii</v>
      </c>
      <c r="X13" s="19"/>
      <c r="Y13" s="25">
        <f>W9</f>
        <v>2729</v>
      </c>
      <c r="Z13" s="20"/>
    </row>
    <row r="14" spans="1:26" x14ac:dyDescent="0.25">
      <c r="A14" s="8"/>
      <c r="B14" s="17"/>
      <c r="C14" s="23"/>
      <c r="D14" s="19"/>
      <c r="E14" s="25"/>
      <c r="F14" s="19"/>
      <c r="G14" s="19"/>
      <c r="H14" s="19"/>
      <c r="I14" s="43"/>
      <c r="J14" s="42"/>
      <c r="K14" s="46"/>
      <c r="L14" s="20"/>
      <c r="M14" s="7"/>
      <c r="N14" s="7"/>
      <c r="O14" s="7"/>
      <c r="P14" s="55"/>
      <c r="Q14" s="18"/>
      <c r="R14" s="19"/>
      <c r="S14" s="25"/>
      <c r="T14" s="19"/>
      <c r="U14" s="28"/>
      <c r="V14" s="60"/>
      <c r="W14" s="50"/>
      <c r="X14" s="19"/>
      <c r="Y14" s="25"/>
      <c r="Z14" s="20"/>
    </row>
    <row r="15" spans="1:26" x14ac:dyDescent="0.25">
      <c r="A15" s="8"/>
      <c r="B15" s="17"/>
      <c r="C15" s="26" t="s">
        <v>3</v>
      </c>
      <c r="D15" s="27">
        <v>0.105</v>
      </c>
      <c r="E15" s="25">
        <f>ROUND($E$13*D15,0)</f>
        <v>200</v>
      </c>
      <c r="F15" s="19"/>
      <c r="G15" s="19"/>
      <c r="H15" s="19"/>
      <c r="I15" s="47" t="str">
        <f t="shared" si="0"/>
        <v>CAS individual</v>
      </c>
      <c r="J15" s="48">
        <f>D15</f>
        <v>0.105</v>
      </c>
      <c r="K15" s="46">
        <f>ROUND($K$13*D15,0)</f>
        <v>239</v>
      </c>
      <c r="L15" s="20"/>
      <c r="M15" s="7"/>
      <c r="N15" s="7"/>
      <c r="O15" s="7"/>
      <c r="P15" s="55"/>
      <c r="Q15" s="24" t="s">
        <v>42</v>
      </c>
      <c r="R15" s="61">
        <v>0.25</v>
      </c>
      <c r="S15" s="25">
        <f>ROUND(S13*R15,0)</f>
        <v>570</v>
      </c>
      <c r="T15" s="19"/>
      <c r="U15" s="28"/>
      <c r="V15" s="60"/>
      <c r="W15" s="45" t="str">
        <f>Q15</f>
        <v>CAS conditii normale de lucru</v>
      </c>
      <c r="X15" s="70">
        <v>0.25</v>
      </c>
      <c r="Y15" s="46">
        <f>ROUND(X15*Y13,0)</f>
        <v>682</v>
      </c>
      <c r="Z15" s="20"/>
    </row>
    <row r="16" spans="1:26" x14ac:dyDescent="0.25">
      <c r="A16" s="8"/>
      <c r="B16" s="17"/>
      <c r="C16" s="26" t="s">
        <v>41</v>
      </c>
      <c r="D16" s="27">
        <v>5.0000000000000001E-3</v>
      </c>
      <c r="E16" s="25">
        <f t="shared" ref="E16:E17" si="1">ROUND($E$13*D16,0)</f>
        <v>10</v>
      </c>
      <c r="F16" s="19"/>
      <c r="G16" s="19"/>
      <c r="H16" s="19"/>
      <c r="I16" s="47" t="str">
        <f t="shared" si="0"/>
        <v>Somaj</v>
      </c>
      <c r="J16" s="48">
        <f t="shared" ref="J16:J24" si="2">D16</f>
        <v>5.0000000000000001E-3</v>
      </c>
      <c r="K16" s="46">
        <f t="shared" ref="K16:K17" si="3">ROUND($K$13*D16,0)</f>
        <v>11</v>
      </c>
      <c r="L16" s="20"/>
      <c r="M16" s="7"/>
      <c r="N16" s="7"/>
      <c r="O16" s="7"/>
      <c r="P16" s="55"/>
      <c r="Q16" s="24" t="s">
        <v>0</v>
      </c>
      <c r="R16" s="61">
        <v>0.1</v>
      </c>
      <c r="S16" s="25">
        <f>ROUND(S13*R16,0)</f>
        <v>228</v>
      </c>
      <c r="T16" s="19"/>
      <c r="U16" s="28"/>
      <c r="V16" s="60"/>
      <c r="W16" s="45" t="str">
        <f t="shared" ref="W16:W25" si="4">Q16</f>
        <v>Sanatate</v>
      </c>
      <c r="X16" s="70">
        <v>0.1</v>
      </c>
      <c r="Y16" s="46">
        <f>ROUND(Y13*X16,0)</f>
        <v>273</v>
      </c>
      <c r="Z16" s="20"/>
    </row>
    <row r="17" spans="1:26" x14ac:dyDescent="0.25">
      <c r="A17" s="8"/>
      <c r="B17" s="17"/>
      <c r="C17" s="26" t="s">
        <v>0</v>
      </c>
      <c r="D17" s="27">
        <v>5.5E-2</v>
      </c>
      <c r="E17" s="25">
        <f t="shared" si="1"/>
        <v>105</v>
      </c>
      <c r="F17" s="19"/>
      <c r="G17" s="19"/>
      <c r="H17" s="19"/>
      <c r="I17" s="47" t="str">
        <f t="shared" si="0"/>
        <v>Sanatate</v>
      </c>
      <c r="J17" s="48">
        <f t="shared" si="2"/>
        <v>5.5E-2</v>
      </c>
      <c r="K17" s="46">
        <f t="shared" si="3"/>
        <v>125</v>
      </c>
      <c r="L17" s="20"/>
      <c r="M17" s="7"/>
      <c r="N17" s="7"/>
      <c r="O17" s="7"/>
      <c r="P17" s="55"/>
      <c r="Q17" s="24"/>
      <c r="R17" s="24"/>
      <c r="S17" s="62"/>
      <c r="T17" s="19"/>
      <c r="U17" s="28"/>
      <c r="V17" s="60"/>
      <c r="W17" s="45"/>
      <c r="X17" s="45"/>
      <c r="Y17" s="71"/>
      <c r="Z17" s="20"/>
    </row>
    <row r="18" spans="1:26" x14ac:dyDescent="0.25">
      <c r="A18" s="8"/>
      <c r="B18" s="17"/>
      <c r="C18" s="26" t="s">
        <v>35</v>
      </c>
      <c r="D18" s="27"/>
      <c r="E18" s="25">
        <f>SUM(E15:E17)</f>
        <v>315</v>
      </c>
      <c r="F18" s="19"/>
      <c r="G18" s="19"/>
      <c r="H18" s="19"/>
      <c r="I18" s="47" t="str">
        <f t="shared" si="0"/>
        <v>Total contributii angajat</v>
      </c>
      <c r="J18" s="48"/>
      <c r="K18" s="46">
        <f>K15+K16+K17</f>
        <v>375</v>
      </c>
      <c r="L18" s="20"/>
      <c r="M18" s="7"/>
      <c r="N18" s="7"/>
      <c r="O18" s="7"/>
      <c r="P18" s="55"/>
      <c r="Q18" s="24" t="s">
        <v>35</v>
      </c>
      <c r="R18" s="24"/>
      <c r="S18" s="25">
        <f>SUM(S15:S16)</f>
        <v>798</v>
      </c>
      <c r="T18" s="19"/>
      <c r="U18" s="28"/>
      <c r="V18" s="60"/>
      <c r="W18" s="45" t="str">
        <f t="shared" si="4"/>
        <v>Total contributii angajat</v>
      </c>
      <c r="X18" s="45"/>
      <c r="Y18" s="46">
        <f>Y15+Y16</f>
        <v>955</v>
      </c>
      <c r="Z18" s="20"/>
    </row>
    <row r="19" spans="1:26" x14ac:dyDescent="0.25">
      <c r="A19" s="8"/>
      <c r="B19" s="17"/>
      <c r="C19" s="26"/>
      <c r="D19" s="27"/>
      <c r="E19" s="25"/>
      <c r="F19" s="19"/>
      <c r="G19" s="19"/>
      <c r="H19" s="19"/>
      <c r="I19" s="47"/>
      <c r="J19" s="48"/>
      <c r="K19" s="46"/>
      <c r="L19" s="20"/>
      <c r="M19" s="7"/>
      <c r="N19" s="7"/>
      <c r="O19" s="7"/>
      <c r="P19" s="55"/>
      <c r="Q19" s="24"/>
      <c r="R19" s="24"/>
      <c r="S19" s="25"/>
      <c r="T19" s="19"/>
      <c r="U19" s="28"/>
      <c r="V19" s="60"/>
      <c r="W19" s="45"/>
      <c r="X19" s="45"/>
      <c r="Y19" s="46"/>
      <c r="Z19" s="20"/>
    </row>
    <row r="20" spans="1:26" x14ac:dyDescent="0.25">
      <c r="A20" s="8"/>
      <c r="B20" s="17"/>
      <c r="C20" s="26" t="s">
        <v>36</v>
      </c>
      <c r="D20" s="27"/>
      <c r="E20" s="25">
        <f>E13-E15-E16-E17</f>
        <v>1585</v>
      </c>
      <c r="F20" s="19"/>
      <c r="G20" s="19"/>
      <c r="H20" s="19"/>
      <c r="I20" s="47" t="str">
        <f t="shared" si="0"/>
        <v>Venit net fara tichete</v>
      </c>
      <c r="J20" s="48"/>
      <c r="K20" s="46">
        <f>K13-K18</f>
        <v>1897</v>
      </c>
      <c r="L20" s="20"/>
      <c r="M20" s="7"/>
      <c r="N20" s="7"/>
      <c r="O20" s="7"/>
      <c r="P20" s="55"/>
      <c r="Q20" s="24" t="s">
        <v>36</v>
      </c>
      <c r="R20" s="19"/>
      <c r="S20" s="25">
        <f>Q9-S15-S16</f>
        <v>1102</v>
      </c>
      <c r="T20" s="19"/>
      <c r="U20" s="28"/>
      <c r="V20" s="60"/>
      <c r="W20" s="45" t="str">
        <f t="shared" si="4"/>
        <v>Venit net fara tichete</v>
      </c>
      <c r="X20" s="42"/>
      <c r="Y20" s="46">
        <f>W9-Y18</f>
        <v>1774</v>
      </c>
      <c r="Z20" s="20"/>
    </row>
    <row r="21" spans="1:26" x14ac:dyDescent="0.25">
      <c r="A21" s="8"/>
      <c r="B21" s="17"/>
      <c r="C21" s="26" t="s">
        <v>34</v>
      </c>
      <c r="D21" s="27"/>
      <c r="E21" s="25">
        <f>E13+E12</f>
        <v>1900</v>
      </c>
      <c r="F21" s="19"/>
      <c r="G21" s="19"/>
      <c r="H21" s="19"/>
      <c r="I21" s="47" t="str">
        <f t="shared" si="0"/>
        <v>Venit brut baza calcul deducere</v>
      </c>
      <c r="J21" s="48"/>
      <c r="K21" s="46">
        <f>I9+K12</f>
        <v>2272</v>
      </c>
      <c r="L21" s="20"/>
      <c r="M21" s="7"/>
      <c r="N21" s="7"/>
      <c r="O21" s="7"/>
      <c r="P21" s="55"/>
      <c r="Q21" s="26" t="s">
        <v>34</v>
      </c>
      <c r="R21" s="19"/>
      <c r="S21" s="25">
        <f>S13+S12</f>
        <v>2280</v>
      </c>
      <c r="T21" s="19"/>
      <c r="U21" s="28"/>
      <c r="V21" s="60"/>
      <c r="W21" s="47" t="str">
        <f t="shared" si="4"/>
        <v>Venit brut baza calcul deducere</v>
      </c>
      <c r="X21" s="42"/>
      <c r="Y21" s="46">
        <f>W9+Y12</f>
        <v>2729</v>
      </c>
      <c r="Z21" s="20"/>
    </row>
    <row r="22" spans="1:26" x14ac:dyDescent="0.25">
      <c r="A22" s="8"/>
      <c r="B22" s="17"/>
      <c r="C22" s="26" t="s">
        <v>44</v>
      </c>
      <c r="D22" s="28"/>
      <c r="E22" s="25">
        <f>VLOOKUP(F9,Calcul_deduceri!B1:D13,3,0)</f>
        <v>220</v>
      </c>
      <c r="F22" s="19"/>
      <c r="G22" s="19"/>
      <c r="H22" s="19"/>
      <c r="I22" s="47" t="str">
        <f t="shared" si="0"/>
        <v>Deducere personala functie de baza</v>
      </c>
      <c r="J22" s="49"/>
      <c r="K22" s="46">
        <f>VLOOKUP(L9,'Calcul_deduceri (2)'!B1:D13,3,0)</f>
        <v>150</v>
      </c>
      <c r="L22" s="20"/>
      <c r="M22" s="7"/>
      <c r="N22" s="7"/>
      <c r="O22" s="7"/>
      <c r="P22" s="55"/>
      <c r="Q22" s="26" t="s">
        <v>44</v>
      </c>
      <c r="R22" s="19"/>
      <c r="S22" s="25">
        <f>VLOOKUP(T9,Calcul_deduceri!B1:E13,4,0)</f>
        <v>430</v>
      </c>
      <c r="T22" s="19"/>
      <c r="U22" s="28"/>
      <c r="V22" s="60"/>
      <c r="W22" s="47" t="str">
        <f t="shared" si="4"/>
        <v>Deducere personala functie de baza</v>
      </c>
      <c r="X22" s="42"/>
      <c r="Y22" s="46">
        <f>VLOOKUP(Z9,'Calcul_deduceri (2)'!B1:E13,4,0)</f>
        <v>310</v>
      </c>
      <c r="Z22" s="20"/>
    </row>
    <row r="23" spans="1:26" x14ac:dyDescent="0.25">
      <c r="A23" s="8"/>
      <c r="B23" s="17"/>
      <c r="C23" s="23" t="s">
        <v>14</v>
      </c>
      <c r="D23" s="24"/>
      <c r="E23" s="25">
        <f>E13-E15-E16-E17-E22+E12</f>
        <v>1365</v>
      </c>
      <c r="F23" s="19"/>
      <c r="G23" s="19"/>
      <c r="H23" s="19"/>
      <c r="I23" s="43" t="str">
        <f t="shared" si="0"/>
        <v>Baza calcul impozit</v>
      </c>
      <c r="J23" s="45"/>
      <c r="K23" s="46">
        <f>I9-K18-K22+K12</f>
        <v>1747</v>
      </c>
      <c r="L23" s="20"/>
      <c r="M23" s="7"/>
      <c r="N23" s="7"/>
      <c r="O23" s="7"/>
      <c r="P23" s="55"/>
      <c r="Q23" s="24" t="s">
        <v>14</v>
      </c>
      <c r="R23" s="19"/>
      <c r="S23" s="25">
        <f>S13-S15-S16-S22+S12</f>
        <v>1052</v>
      </c>
      <c r="T23" s="19"/>
      <c r="U23" s="28"/>
      <c r="V23" s="60"/>
      <c r="W23" s="45" t="str">
        <f t="shared" si="4"/>
        <v>Baza calcul impozit</v>
      </c>
      <c r="X23" s="42"/>
      <c r="Y23" s="46">
        <f>W9-Y22+Y12-Y18</f>
        <v>1464</v>
      </c>
      <c r="Z23" s="20"/>
    </row>
    <row r="24" spans="1:26" ht="11" thickBot="1" x14ac:dyDescent="0.3">
      <c r="A24" s="8"/>
      <c r="B24" s="17"/>
      <c r="C24" s="26" t="s">
        <v>30</v>
      </c>
      <c r="D24" s="27">
        <v>0.16</v>
      </c>
      <c r="E24" s="25">
        <f>ROUND(E23*D24,0)</f>
        <v>218</v>
      </c>
      <c r="F24" s="80" t="s">
        <v>48</v>
      </c>
      <c r="G24" s="81" t="s">
        <v>52</v>
      </c>
      <c r="H24" s="19"/>
      <c r="I24" s="47" t="str">
        <f t="shared" si="0"/>
        <v>Impozit venit</v>
      </c>
      <c r="J24" s="48">
        <f t="shared" si="2"/>
        <v>0.16</v>
      </c>
      <c r="K24" s="46">
        <f>ROUND(K23*J24,0)</f>
        <v>280</v>
      </c>
      <c r="L24" s="20"/>
      <c r="M24" s="7"/>
      <c r="N24" s="7"/>
      <c r="O24" s="7"/>
      <c r="P24" s="55"/>
      <c r="Q24" s="24" t="s">
        <v>30</v>
      </c>
      <c r="R24" s="61">
        <v>0.1</v>
      </c>
      <c r="S24" s="25">
        <f>ROUND(S23*R24,0)</f>
        <v>105</v>
      </c>
      <c r="T24" s="29" t="s">
        <v>48</v>
      </c>
      <c r="U24" s="30" t="s">
        <v>52</v>
      </c>
      <c r="V24" s="60"/>
      <c r="W24" s="45" t="str">
        <f t="shared" si="4"/>
        <v>Impozit venit</v>
      </c>
      <c r="X24" s="70">
        <v>0.1</v>
      </c>
      <c r="Y24" s="46">
        <f>ROUND(Y23*X24,0)</f>
        <v>146</v>
      </c>
      <c r="Z24" s="20"/>
    </row>
    <row r="25" spans="1:26" ht="11" thickBot="1" x14ac:dyDescent="0.3">
      <c r="A25" s="8"/>
      <c r="B25" s="17"/>
      <c r="C25" s="31" t="s">
        <v>1</v>
      </c>
      <c r="D25" s="32"/>
      <c r="E25" s="33">
        <f>E13-E18-E24</f>
        <v>1367</v>
      </c>
      <c r="F25" s="82">
        <v>250</v>
      </c>
      <c r="G25" s="77">
        <f>E25+F25</f>
        <v>1617</v>
      </c>
      <c r="H25" s="19"/>
      <c r="I25" s="31" t="str">
        <f t="shared" si="0"/>
        <v>Rest de plata</v>
      </c>
      <c r="J25" s="32"/>
      <c r="K25" s="33">
        <f>I9-K18-K24</f>
        <v>1617</v>
      </c>
      <c r="L25" s="20"/>
      <c r="M25" s="7"/>
      <c r="N25" s="7"/>
      <c r="O25" s="7"/>
      <c r="P25" s="55"/>
      <c r="Q25" s="63" t="s">
        <v>1</v>
      </c>
      <c r="R25" s="64"/>
      <c r="S25" s="33">
        <f>S13-S18-S24</f>
        <v>1377</v>
      </c>
      <c r="T25" s="82">
        <v>250</v>
      </c>
      <c r="U25" s="77">
        <f>S25+T25</f>
        <v>1627</v>
      </c>
      <c r="V25" s="65"/>
      <c r="W25" s="63" t="str">
        <f t="shared" si="4"/>
        <v>Rest de plata</v>
      </c>
      <c r="X25" s="64"/>
      <c r="Y25" s="33">
        <f>W9-Y18-Y24</f>
        <v>1628</v>
      </c>
      <c r="Z25" s="20"/>
    </row>
    <row r="26" spans="1:26" x14ac:dyDescent="0.25">
      <c r="A26" s="8"/>
      <c r="B26" s="17"/>
      <c r="C26" s="23"/>
      <c r="D26" s="19"/>
      <c r="E26" s="19"/>
      <c r="F26" s="19"/>
      <c r="G26" s="19"/>
      <c r="H26" s="19"/>
      <c r="I26" s="18"/>
      <c r="J26" s="19"/>
      <c r="K26" s="19"/>
      <c r="L26" s="20"/>
      <c r="M26" s="7"/>
      <c r="N26" s="7"/>
      <c r="O26" s="7"/>
      <c r="P26" s="55"/>
      <c r="Q26" s="24"/>
      <c r="R26" s="24"/>
      <c r="S26" s="24"/>
      <c r="T26" s="19"/>
      <c r="U26" s="28"/>
      <c r="V26" s="60"/>
      <c r="W26" s="24"/>
      <c r="X26" s="24"/>
      <c r="Y26" s="24"/>
      <c r="Z26" s="20"/>
    </row>
    <row r="27" spans="1:26" x14ac:dyDescent="0.25">
      <c r="A27" s="8"/>
      <c r="B27" s="17"/>
      <c r="C27" s="26" t="s">
        <v>4</v>
      </c>
      <c r="D27" s="27">
        <v>5.1999999999999998E-2</v>
      </c>
      <c r="E27" s="19">
        <f>ROUND($E$13*D27,0)</f>
        <v>99</v>
      </c>
      <c r="F27" s="19"/>
      <c r="G27" s="19"/>
      <c r="H27" s="19"/>
      <c r="I27" s="47" t="str">
        <f t="shared" si="0"/>
        <v>CASS</v>
      </c>
      <c r="J27" s="48">
        <f>D27</f>
        <v>5.1999999999999998E-2</v>
      </c>
      <c r="K27" s="42">
        <f>ROUND($K$13*J27,0)</f>
        <v>118</v>
      </c>
      <c r="L27" s="20"/>
      <c r="M27" s="7"/>
      <c r="N27" s="7"/>
      <c r="O27" s="7"/>
      <c r="P27" s="55"/>
      <c r="Q27" s="45" t="s">
        <v>31</v>
      </c>
      <c r="R27" s="48">
        <v>2.2499999999999999E-2</v>
      </c>
      <c r="S27" s="42">
        <f>ROUND(S13*R27,0)</f>
        <v>51</v>
      </c>
      <c r="T27" s="19"/>
      <c r="U27" s="28"/>
      <c r="V27" s="60"/>
      <c r="W27" s="45" t="str">
        <f>Q27</f>
        <v>Contributie Asiguratorie de munca</v>
      </c>
      <c r="X27" s="48">
        <f>R27</f>
        <v>2.2499999999999999E-2</v>
      </c>
      <c r="Y27" s="42">
        <f>ROUND(Y13*X27,0)</f>
        <v>61</v>
      </c>
      <c r="Z27" s="20"/>
    </row>
    <row r="28" spans="1:26" x14ac:dyDescent="0.25">
      <c r="A28" s="8"/>
      <c r="B28" s="17"/>
      <c r="C28" s="26" t="s">
        <v>41</v>
      </c>
      <c r="D28" s="27">
        <v>5.0000000000000001E-3</v>
      </c>
      <c r="E28" s="19">
        <f t="shared" ref="E28:E32" si="5">ROUND($E$13*D28,0)</f>
        <v>10</v>
      </c>
      <c r="F28" s="19"/>
      <c r="G28" s="19"/>
      <c r="H28" s="19"/>
      <c r="I28" s="47" t="str">
        <f t="shared" si="0"/>
        <v>Somaj</v>
      </c>
      <c r="J28" s="48">
        <f t="shared" ref="J28:J32" si="6">D28</f>
        <v>5.0000000000000001E-3</v>
      </c>
      <c r="K28" s="42">
        <f t="shared" ref="K28:K32" si="7">ROUND($K$13*J28,0)</f>
        <v>11</v>
      </c>
      <c r="L28" s="20"/>
      <c r="M28" s="7"/>
      <c r="N28" s="7"/>
      <c r="O28" s="7"/>
      <c r="P28" s="55"/>
      <c r="Q28" s="45"/>
      <c r="R28" s="42"/>
      <c r="S28" s="42"/>
      <c r="T28" s="19"/>
      <c r="U28" s="28"/>
      <c r="V28" s="60"/>
      <c r="W28" s="45"/>
      <c r="X28" s="42"/>
      <c r="Y28" s="42"/>
      <c r="Z28" s="20"/>
    </row>
    <row r="29" spans="1:26" x14ac:dyDescent="0.25">
      <c r="A29" s="8"/>
      <c r="B29" s="17"/>
      <c r="C29" s="26" t="s">
        <v>42</v>
      </c>
      <c r="D29" s="27">
        <v>0.158</v>
      </c>
      <c r="E29" s="19">
        <f t="shared" si="5"/>
        <v>300</v>
      </c>
      <c r="F29" s="19"/>
      <c r="G29" s="19"/>
      <c r="H29" s="19"/>
      <c r="I29" s="47" t="str">
        <f t="shared" si="0"/>
        <v>CAS conditii normale de lucru</v>
      </c>
      <c r="J29" s="48">
        <f t="shared" si="6"/>
        <v>0.158</v>
      </c>
      <c r="K29" s="42">
        <f t="shared" si="7"/>
        <v>359</v>
      </c>
      <c r="L29" s="20"/>
      <c r="M29" s="7"/>
      <c r="N29" s="7"/>
      <c r="O29" s="7"/>
      <c r="P29" s="55"/>
      <c r="Q29" s="45"/>
      <c r="R29" s="42"/>
      <c r="S29" s="42"/>
      <c r="T29" s="19"/>
      <c r="U29" s="28"/>
      <c r="V29" s="60"/>
      <c r="W29" s="24"/>
      <c r="X29" s="19"/>
      <c r="Y29" s="19"/>
      <c r="Z29" s="20"/>
    </row>
    <row r="30" spans="1:26" x14ac:dyDescent="0.25">
      <c r="A30" s="8"/>
      <c r="B30" s="17"/>
      <c r="C30" s="26" t="s">
        <v>5</v>
      </c>
      <c r="D30" s="27">
        <v>8.5000000000000006E-3</v>
      </c>
      <c r="E30" s="19">
        <f t="shared" si="5"/>
        <v>16</v>
      </c>
      <c r="F30" s="19"/>
      <c r="G30" s="19"/>
      <c r="H30" s="19"/>
      <c r="I30" s="47" t="str">
        <f t="shared" si="0"/>
        <v>FNUASS</v>
      </c>
      <c r="J30" s="48">
        <f t="shared" si="6"/>
        <v>8.5000000000000006E-3</v>
      </c>
      <c r="K30" s="42">
        <f t="shared" si="7"/>
        <v>19</v>
      </c>
      <c r="L30" s="20"/>
      <c r="M30" s="7"/>
      <c r="N30" s="7"/>
      <c r="O30" s="7"/>
      <c r="P30" s="55"/>
      <c r="Q30" s="24"/>
      <c r="R30" s="19"/>
      <c r="S30" s="19"/>
      <c r="T30" s="19"/>
      <c r="U30" s="28"/>
      <c r="V30" s="60"/>
      <c r="W30" s="24"/>
      <c r="X30" s="19"/>
      <c r="Y30" s="19"/>
      <c r="Z30" s="20"/>
    </row>
    <row r="31" spans="1:26" x14ac:dyDescent="0.25">
      <c r="A31" s="8"/>
      <c r="B31" s="17"/>
      <c r="C31" s="26" t="s">
        <v>6</v>
      </c>
      <c r="D31" s="27">
        <v>4.0000000000000001E-3</v>
      </c>
      <c r="E31" s="19">
        <f t="shared" si="5"/>
        <v>8</v>
      </c>
      <c r="F31" s="19"/>
      <c r="G31" s="19"/>
      <c r="H31" s="19"/>
      <c r="I31" s="47" t="str">
        <f t="shared" si="0"/>
        <v>Fond de risc si accidente</v>
      </c>
      <c r="J31" s="48">
        <f t="shared" si="6"/>
        <v>4.0000000000000001E-3</v>
      </c>
      <c r="K31" s="42">
        <f t="shared" si="7"/>
        <v>9</v>
      </c>
      <c r="L31" s="20"/>
      <c r="M31" s="7"/>
      <c r="N31" s="7"/>
      <c r="O31" s="7"/>
      <c r="P31" s="55"/>
      <c r="Q31" s="24"/>
      <c r="R31" s="19"/>
      <c r="S31" s="19"/>
      <c r="T31" s="19"/>
      <c r="U31" s="28"/>
      <c r="V31" s="60"/>
      <c r="W31" s="24"/>
      <c r="X31" s="19"/>
      <c r="Y31" s="19"/>
      <c r="Z31" s="20"/>
    </row>
    <row r="32" spans="1:26" x14ac:dyDescent="0.25">
      <c r="A32" s="8"/>
      <c r="B32" s="17"/>
      <c r="C32" s="26" t="s">
        <v>43</v>
      </c>
      <c r="D32" s="27">
        <v>2.5000000000000001E-3</v>
      </c>
      <c r="E32" s="19">
        <f t="shared" si="5"/>
        <v>5</v>
      </c>
      <c r="F32" s="19"/>
      <c r="G32" s="19"/>
      <c r="H32" s="19"/>
      <c r="I32" s="47" t="str">
        <f t="shared" si="0"/>
        <v>Fond creante salariale</v>
      </c>
      <c r="J32" s="48">
        <f t="shared" si="6"/>
        <v>2.5000000000000001E-3</v>
      </c>
      <c r="K32" s="42">
        <f t="shared" si="7"/>
        <v>6</v>
      </c>
      <c r="L32" s="20"/>
      <c r="M32" s="7"/>
      <c r="N32" s="7"/>
      <c r="O32" s="7"/>
      <c r="P32" s="55"/>
      <c r="Q32" s="24"/>
      <c r="R32" s="19"/>
      <c r="S32" s="66"/>
      <c r="T32" s="19"/>
      <c r="U32" s="28"/>
      <c r="V32" s="60"/>
      <c r="W32" s="24"/>
      <c r="X32" s="19"/>
      <c r="Y32" s="66"/>
      <c r="Z32" s="20"/>
    </row>
    <row r="33" spans="1:26" x14ac:dyDescent="0.25">
      <c r="A33" s="8"/>
      <c r="B33" s="17"/>
      <c r="C33" s="24"/>
      <c r="D33" s="24"/>
      <c r="E33" s="19"/>
      <c r="F33" s="19"/>
      <c r="G33" s="19"/>
      <c r="H33" s="19"/>
      <c r="I33" s="19"/>
      <c r="J33" s="27"/>
      <c r="K33" s="19"/>
      <c r="L33" s="20"/>
      <c r="M33" s="7"/>
      <c r="N33" s="7"/>
      <c r="O33" s="7"/>
      <c r="P33" s="55"/>
      <c r="Q33" s="24"/>
      <c r="R33" s="19"/>
      <c r="S33" s="19"/>
      <c r="T33" s="19"/>
      <c r="U33" s="28"/>
      <c r="V33" s="60"/>
      <c r="W33" s="24"/>
      <c r="X33" s="19"/>
      <c r="Y33" s="19"/>
      <c r="Z33" s="20"/>
    </row>
    <row r="34" spans="1:26" x14ac:dyDescent="0.25">
      <c r="A34" s="8"/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20"/>
      <c r="M34" s="7"/>
      <c r="N34" s="7"/>
      <c r="O34" s="7"/>
      <c r="P34" s="55"/>
      <c r="Q34" s="24"/>
      <c r="R34" s="19"/>
      <c r="S34" s="19"/>
      <c r="T34" s="19"/>
      <c r="U34" s="28"/>
      <c r="V34" s="60"/>
      <c r="W34" s="24"/>
      <c r="X34" s="19"/>
      <c r="Y34" s="19"/>
      <c r="Z34" s="20"/>
    </row>
    <row r="35" spans="1:26" x14ac:dyDescent="0.25">
      <c r="A35" s="8"/>
      <c r="B35" s="17"/>
      <c r="C35" s="34" t="s">
        <v>2</v>
      </c>
      <c r="D35" s="32"/>
      <c r="E35" s="33">
        <f>E13+SUM(E27:E32)</f>
        <v>2338</v>
      </c>
      <c r="F35" s="19"/>
      <c r="G35" s="19"/>
      <c r="H35" s="19"/>
      <c r="I35" s="34" t="str">
        <f>C35</f>
        <v>Total cost companie</v>
      </c>
      <c r="J35" s="32"/>
      <c r="K35" s="33">
        <f>I9+SUM(K27:K32)</f>
        <v>2794</v>
      </c>
      <c r="L35" s="20"/>
      <c r="M35" s="7"/>
      <c r="N35" s="7"/>
      <c r="O35" s="7"/>
      <c r="P35" s="55"/>
      <c r="Q35" s="63" t="s">
        <v>50</v>
      </c>
      <c r="R35" s="32"/>
      <c r="S35" s="33">
        <f>S13+S27</f>
        <v>2331</v>
      </c>
      <c r="T35" s="19"/>
      <c r="U35" s="57"/>
      <c r="V35" s="58"/>
      <c r="W35" s="63" t="str">
        <f>Q35</f>
        <v>Total cost companie fara tichete masa</v>
      </c>
      <c r="X35" s="32"/>
      <c r="Y35" s="33">
        <f>W9+Y27</f>
        <v>2790</v>
      </c>
      <c r="Z35" s="20"/>
    </row>
    <row r="36" spans="1:26" x14ac:dyDescent="0.25">
      <c r="A36" s="8"/>
      <c r="B36" s="17"/>
      <c r="C36" s="18" t="s">
        <v>38</v>
      </c>
      <c r="D36" s="19"/>
      <c r="E36" s="19">
        <f>E15+E16+E17+E24</f>
        <v>533</v>
      </c>
      <c r="F36" s="19"/>
      <c r="G36" s="19"/>
      <c r="H36" s="19"/>
      <c r="I36" s="50" t="str">
        <f t="shared" ref="I36:I39" si="8">C36</f>
        <v>Total Retineri angajat</v>
      </c>
      <c r="J36" s="42"/>
      <c r="K36" s="46">
        <f>K18+K24</f>
        <v>655</v>
      </c>
      <c r="L36" s="20"/>
      <c r="M36" s="7"/>
      <c r="N36" s="7"/>
      <c r="O36" s="7"/>
      <c r="P36" s="55"/>
      <c r="Q36" s="50" t="s">
        <v>38</v>
      </c>
      <c r="R36" s="42"/>
      <c r="S36" s="42">
        <f>S15+S16+S24</f>
        <v>903</v>
      </c>
      <c r="T36" s="19"/>
      <c r="U36" s="28"/>
      <c r="V36" s="19"/>
      <c r="W36" s="50" t="str">
        <f t="shared" ref="W36:W39" si="9">Q36</f>
        <v>Total Retineri angajat</v>
      </c>
      <c r="X36" s="42"/>
      <c r="Y36" s="42">
        <f>Y18+Y24</f>
        <v>1101</v>
      </c>
      <c r="Z36" s="20"/>
    </row>
    <row r="37" spans="1:26" x14ac:dyDescent="0.25">
      <c r="A37" s="8"/>
      <c r="B37" s="17"/>
      <c r="C37" s="18" t="s">
        <v>39</v>
      </c>
      <c r="D37" s="19"/>
      <c r="E37" s="19">
        <f>E27+E28+E29+E30+E31+E32</f>
        <v>438</v>
      </c>
      <c r="F37" s="19"/>
      <c r="G37" s="19"/>
      <c r="H37" s="19"/>
      <c r="I37" s="50" t="str">
        <f t="shared" si="8"/>
        <v>Total Retineri angajator</v>
      </c>
      <c r="J37" s="42"/>
      <c r="K37" s="42">
        <f>SUM(K27:K32)</f>
        <v>522</v>
      </c>
      <c r="L37" s="20"/>
      <c r="M37" s="7"/>
      <c r="N37" s="7"/>
      <c r="O37" s="7"/>
      <c r="P37" s="55"/>
      <c r="Q37" s="50" t="s">
        <v>39</v>
      </c>
      <c r="R37" s="42"/>
      <c r="S37" s="42">
        <f>S27</f>
        <v>51</v>
      </c>
      <c r="T37" s="19"/>
      <c r="U37" s="28"/>
      <c r="V37" s="19"/>
      <c r="W37" s="50" t="str">
        <f t="shared" si="9"/>
        <v>Total Retineri angajator</v>
      </c>
      <c r="X37" s="42"/>
      <c r="Y37" s="42">
        <f>Y27</f>
        <v>61</v>
      </c>
      <c r="Z37" s="20"/>
    </row>
    <row r="38" spans="1:26" x14ac:dyDescent="0.25">
      <c r="A38" s="8"/>
      <c r="B38" s="17"/>
      <c r="C38" s="18" t="s">
        <v>40</v>
      </c>
      <c r="D38" s="19"/>
      <c r="E38" s="19">
        <f>E36+E37</f>
        <v>971</v>
      </c>
      <c r="F38" s="19"/>
      <c r="G38" s="19"/>
      <c r="H38" s="19"/>
      <c r="I38" s="50" t="str">
        <f t="shared" si="8"/>
        <v>Total de plata BS si BASS</v>
      </c>
      <c r="J38" s="42"/>
      <c r="K38" s="46">
        <f>K36+K37</f>
        <v>1177</v>
      </c>
      <c r="L38" s="20"/>
      <c r="M38" s="7"/>
      <c r="N38" s="7"/>
      <c r="O38" s="7"/>
      <c r="P38" s="55"/>
      <c r="Q38" s="50" t="s">
        <v>40</v>
      </c>
      <c r="R38" s="42"/>
      <c r="S38" s="42">
        <f>S36+S37</f>
        <v>954</v>
      </c>
      <c r="T38" s="19"/>
      <c r="U38" s="28"/>
      <c r="V38" s="58"/>
      <c r="W38" s="50" t="str">
        <f t="shared" si="9"/>
        <v>Total de plata BS si BASS</v>
      </c>
      <c r="X38" s="42"/>
      <c r="Y38" s="42">
        <f>Y36+Y37</f>
        <v>1162</v>
      </c>
      <c r="Z38" s="20"/>
    </row>
    <row r="39" spans="1:26" x14ac:dyDescent="0.25">
      <c r="A39" s="8"/>
      <c r="B39" s="17"/>
      <c r="C39" s="73" t="s">
        <v>51</v>
      </c>
      <c r="D39" s="74"/>
      <c r="E39" s="75">
        <f>E35+E12</f>
        <v>2338</v>
      </c>
      <c r="F39" s="19"/>
      <c r="G39" s="19"/>
      <c r="H39" s="19"/>
      <c r="I39" s="73" t="str">
        <f t="shared" si="8"/>
        <v>Total cost cu tichete de masa</v>
      </c>
      <c r="J39" s="74"/>
      <c r="K39" s="75">
        <f>K35+K12</f>
        <v>2794</v>
      </c>
      <c r="L39" s="20"/>
      <c r="M39" s="7"/>
      <c r="N39" s="7"/>
      <c r="O39" s="7"/>
      <c r="P39" s="55"/>
      <c r="Q39" s="73" t="s">
        <v>51</v>
      </c>
      <c r="R39" s="74"/>
      <c r="S39" s="75">
        <f>S35+S12</f>
        <v>2331</v>
      </c>
      <c r="T39" s="19"/>
      <c r="U39" s="19"/>
      <c r="V39" s="19"/>
      <c r="W39" s="73" t="str">
        <f t="shared" si="9"/>
        <v>Total cost cu tichete de masa</v>
      </c>
      <c r="X39" s="74"/>
      <c r="Y39" s="75">
        <f>Y35+Y12</f>
        <v>2790</v>
      </c>
      <c r="Z39" s="20"/>
    </row>
    <row r="40" spans="1:26" ht="11" thickBot="1" x14ac:dyDescent="0.3">
      <c r="A40" s="8"/>
      <c r="B40" s="35"/>
      <c r="C40" s="36"/>
      <c r="D40" s="37"/>
      <c r="E40" s="37"/>
      <c r="F40" s="37"/>
      <c r="G40" s="37"/>
      <c r="H40" s="37"/>
      <c r="I40" s="37"/>
      <c r="J40" s="37"/>
      <c r="K40" s="37"/>
      <c r="L40" s="38"/>
      <c r="M40" s="7"/>
      <c r="N40" s="7"/>
      <c r="O40" s="7"/>
      <c r="P40" s="67"/>
      <c r="Q40" s="68"/>
      <c r="R40" s="37"/>
      <c r="S40" s="37"/>
      <c r="T40" s="37"/>
      <c r="U40" s="37"/>
      <c r="V40" s="37"/>
      <c r="W40" s="68"/>
      <c r="X40" s="37"/>
      <c r="Y40" s="37"/>
      <c r="Z40" s="38"/>
    </row>
    <row r="41" spans="1:26" x14ac:dyDescent="0.25">
      <c r="A41" s="8"/>
      <c r="B41" s="8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7"/>
      <c r="S41" s="7"/>
      <c r="T41" s="7"/>
      <c r="U41" s="7"/>
      <c r="V41" s="7"/>
      <c r="W41" s="8"/>
      <c r="X41" s="7"/>
      <c r="Y41" s="7"/>
      <c r="Z41" s="8"/>
    </row>
    <row r="42" spans="1:26" x14ac:dyDescent="0.25">
      <c r="A42" s="8"/>
      <c r="B42" s="8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  <c r="R42" s="7"/>
      <c r="S42" s="7"/>
      <c r="T42" s="7"/>
      <c r="U42" s="7"/>
      <c r="V42" s="7"/>
      <c r="W42" s="8"/>
      <c r="X42" s="7"/>
      <c r="Y42" s="7"/>
      <c r="Z42" s="8"/>
    </row>
    <row r="43" spans="1:26" x14ac:dyDescent="0.25">
      <c r="A43" s="8"/>
      <c r="B43" s="8"/>
      <c r="C43" s="1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  <c r="R43" s="7"/>
      <c r="S43" s="7"/>
      <c r="T43" s="7"/>
      <c r="U43" s="7"/>
      <c r="V43" s="7"/>
      <c r="W43" s="8"/>
      <c r="X43" s="7"/>
      <c r="Y43" s="7"/>
      <c r="Z43" s="8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I3" sqref="I3"/>
    </sheetView>
  </sheetViews>
  <sheetFormatPr defaultColWidth="8.7265625" defaultRowHeight="10.5" x14ac:dyDescent="0.25"/>
  <cols>
    <col min="1" max="1" width="17" style="1" bestFit="1" customWidth="1"/>
    <col min="2" max="2" width="2.7265625" style="2" bestFit="1" customWidth="1"/>
    <col min="3" max="3" width="2.7265625" style="1" customWidth="1"/>
    <col min="4" max="5" width="10.6328125" style="3" customWidth="1"/>
    <col min="6" max="16384" width="8.7265625" style="1"/>
  </cols>
  <sheetData>
    <row r="1" spans="1:5" x14ac:dyDescent="0.25">
      <c r="A1" s="1" t="s">
        <v>7</v>
      </c>
      <c r="B1" s="2" t="s">
        <v>45</v>
      </c>
      <c r="D1" s="5">
        <v>1500</v>
      </c>
      <c r="E1" s="5">
        <v>1950</v>
      </c>
    </row>
    <row r="2" spans="1:5" x14ac:dyDescent="0.25">
      <c r="A2" s="1" t="s">
        <v>46</v>
      </c>
      <c r="B2" s="2">
        <v>0</v>
      </c>
      <c r="D2" s="5">
        <v>0</v>
      </c>
      <c r="E2" s="5">
        <v>0</v>
      </c>
    </row>
    <row r="3" spans="1:5" x14ac:dyDescent="0.25">
      <c r="A3" s="1" t="s">
        <v>8</v>
      </c>
      <c r="B3" s="2" t="s">
        <v>17</v>
      </c>
      <c r="D3" s="5">
        <v>300</v>
      </c>
      <c r="E3" s="5">
        <v>510</v>
      </c>
    </row>
    <row r="4" spans="1:5" x14ac:dyDescent="0.25">
      <c r="A4" s="1" t="s">
        <v>9</v>
      </c>
      <c r="B4" s="2" t="s">
        <v>18</v>
      </c>
      <c r="D4" s="5">
        <v>400</v>
      </c>
      <c r="E4" s="5">
        <v>670</v>
      </c>
    </row>
    <row r="5" spans="1:5" x14ac:dyDescent="0.25">
      <c r="A5" s="1" t="s">
        <v>10</v>
      </c>
      <c r="B5" s="2" t="s">
        <v>19</v>
      </c>
      <c r="D5" s="5">
        <v>500</v>
      </c>
      <c r="E5" s="5">
        <v>830</v>
      </c>
    </row>
    <row r="6" spans="1:5" x14ac:dyDescent="0.25">
      <c r="A6" s="1" t="s">
        <v>11</v>
      </c>
      <c r="B6" s="2" t="s">
        <v>20</v>
      </c>
      <c r="D6" s="5">
        <v>600</v>
      </c>
      <c r="E6" s="5">
        <v>990</v>
      </c>
    </row>
    <row r="7" spans="1:5" x14ac:dyDescent="0.25">
      <c r="A7" s="1" t="s">
        <v>12</v>
      </c>
      <c r="B7" s="2" t="s">
        <v>21</v>
      </c>
      <c r="D7" s="5">
        <v>800</v>
      </c>
      <c r="E7" s="5">
        <v>1310</v>
      </c>
    </row>
    <row r="8" spans="1:5" x14ac:dyDescent="0.25">
      <c r="A8" s="1" t="s">
        <v>13</v>
      </c>
      <c r="B8" s="2" t="s">
        <v>22</v>
      </c>
      <c r="D8" s="5">
        <v>3000</v>
      </c>
      <c r="E8" s="5">
        <v>3600</v>
      </c>
    </row>
    <row r="9" spans="1:5" x14ac:dyDescent="0.25">
      <c r="A9" s="1" t="s">
        <v>8</v>
      </c>
      <c r="B9" s="2" t="s">
        <v>23</v>
      </c>
      <c r="D9" s="5">
        <f>CEILING(D3*(1-(Simulator!$E$21- $D$1)/$D$1),10)</f>
        <v>220</v>
      </c>
      <c r="E9" s="5">
        <f>CEILING(E3*(1-(Simulator!$S$21- $E$1)/$E$1),10)</f>
        <v>430</v>
      </c>
    </row>
    <row r="10" spans="1:5" x14ac:dyDescent="0.25">
      <c r="A10" s="1" t="s">
        <v>9</v>
      </c>
      <c r="B10" s="2" t="s">
        <v>24</v>
      </c>
      <c r="D10" s="5">
        <f>CEILING(D4*(1-(Simulator!$E$21- $D$1)/$D$1),10)</f>
        <v>300</v>
      </c>
      <c r="E10" s="5">
        <f>CEILING(E4*(1-(Simulator!$S$21- $E$1)/$E$1),10)</f>
        <v>560</v>
      </c>
    </row>
    <row r="11" spans="1:5" x14ac:dyDescent="0.25">
      <c r="A11" s="1" t="s">
        <v>10</v>
      </c>
      <c r="B11" s="2" t="s">
        <v>25</v>
      </c>
      <c r="D11" s="5">
        <f>CEILING(D5*(1-(Simulator!$E$21- $D$1)/$D$1),10)</f>
        <v>370</v>
      </c>
      <c r="E11" s="5">
        <f>CEILING(E5*(1-(Simulator!$S$21- $E$1)/$E$1),10)</f>
        <v>690</v>
      </c>
    </row>
    <row r="12" spans="1:5" x14ac:dyDescent="0.25">
      <c r="A12" s="1" t="s">
        <v>11</v>
      </c>
      <c r="B12" s="2" t="s">
        <v>26</v>
      </c>
      <c r="D12" s="5">
        <f>CEILING(D6*(1-(Simulator!$E$21- $D$1)/$D$1),10)</f>
        <v>440</v>
      </c>
      <c r="E12" s="5">
        <f>CEILING(E6*(1-(Simulator!$S$21- $E$1)/$E$1),10)</f>
        <v>830</v>
      </c>
    </row>
    <row r="13" spans="1:5" x14ac:dyDescent="0.25">
      <c r="A13" s="1" t="s">
        <v>12</v>
      </c>
      <c r="B13" s="2" t="s">
        <v>27</v>
      </c>
      <c r="D13" s="5">
        <f>CEILING(D7*(1-(Simulator!$E$21- $D$1)/$D$1),10)</f>
        <v>590</v>
      </c>
      <c r="E13" s="5">
        <f>CEILING(E7*(1-(Simulator!$S$21- $E$1)/$E$1),10)</f>
        <v>1090</v>
      </c>
    </row>
    <row r="14" spans="1:5" x14ac:dyDescent="0.25">
      <c r="D14" s="4"/>
    </row>
    <row r="15" spans="1:5" x14ac:dyDescent="0.25">
      <c r="D1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949B-1D90-49A8-8E8C-35CD00804A71}">
  <dimension ref="A1:E15"/>
  <sheetViews>
    <sheetView workbookViewId="0">
      <selection activeCell="I3" sqref="I3"/>
    </sheetView>
  </sheetViews>
  <sheetFormatPr defaultColWidth="8.7265625" defaultRowHeight="10.5" x14ac:dyDescent="0.25"/>
  <cols>
    <col min="1" max="1" width="17" style="1" bestFit="1" customWidth="1"/>
    <col min="2" max="2" width="2.7265625" style="2" bestFit="1" customWidth="1"/>
    <col min="3" max="3" width="2.7265625" style="1" customWidth="1"/>
    <col min="4" max="5" width="10.6328125" style="3" customWidth="1"/>
    <col min="6" max="16384" width="8.7265625" style="1"/>
  </cols>
  <sheetData>
    <row r="1" spans="1:5" x14ac:dyDescent="0.25">
      <c r="A1" s="1" t="s">
        <v>7</v>
      </c>
      <c r="B1" s="2" t="s">
        <v>45</v>
      </c>
      <c r="D1" s="5">
        <v>1500</v>
      </c>
      <c r="E1" s="5">
        <v>1950</v>
      </c>
    </row>
    <row r="2" spans="1:5" x14ac:dyDescent="0.25">
      <c r="A2" s="1" t="s">
        <v>46</v>
      </c>
      <c r="B2" s="2">
        <v>0</v>
      </c>
      <c r="D2" s="5">
        <v>0</v>
      </c>
      <c r="E2" s="5">
        <v>0</v>
      </c>
    </row>
    <row r="3" spans="1:5" x14ac:dyDescent="0.25">
      <c r="A3" s="1" t="s">
        <v>8</v>
      </c>
      <c r="B3" s="2" t="s">
        <v>17</v>
      </c>
      <c r="D3" s="5">
        <v>300</v>
      </c>
      <c r="E3" s="5">
        <v>510</v>
      </c>
    </row>
    <row r="4" spans="1:5" x14ac:dyDescent="0.25">
      <c r="A4" s="1" t="s">
        <v>9</v>
      </c>
      <c r="B4" s="2" t="s">
        <v>18</v>
      </c>
      <c r="D4" s="5">
        <v>400</v>
      </c>
      <c r="E4" s="5">
        <v>670</v>
      </c>
    </row>
    <row r="5" spans="1:5" x14ac:dyDescent="0.25">
      <c r="A5" s="1" t="s">
        <v>10</v>
      </c>
      <c r="B5" s="2" t="s">
        <v>19</v>
      </c>
      <c r="D5" s="5">
        <v>500</v>
      </c>
      <c r="E5" s="5">
        <v>830</v>
      </c>
    </row>
    <row r="6" spans="1:5" x14ac:dyDescent="0.25">
      <c r="A6" s="1" t="s">
        <v>11</v>
      </c>
      <c r="B6" s="2" t="s">
        <v>20</v>
      </c>
      <c r="D6" s="5">
        <v>600</v>
      </c>
      <c r="E6" s="5">
        <v>990</v>
      </c>
    </row>
    <row r="7" spans="1:5" x14ac:dyDescent="0.25">
      <c r="A7" s="1" t="s">
        <v>12</v>
      </c>
      <c r="B7" s="2" t="s">
        <v>21</v>
      </c>
      <c r="D7" s="5">
        <v>800</v>
      </c>
      <c r="E7" s="5">
        <v>1310</v>
      </c>
    </row>
    <row r="8" spans="1:5" x14ac:dyDescent="0.25">
      <c r="A8" s="1" t="s">
        <v>13</v>
      </c>
      <c r="B8" s="2" t="s">
        <v>22</v>
      </c>
      <c r="D8" s="5">
        <v>3000</v>
      </c>
      <c r="E8" s="5">
        <v>3600</v>
      </c>
    </row>
    <row r="9" spans="1:5" x14ac:dyDescent="0.25">
      <c r="A9" s="1" t="s">
        <v>8</v>
      </c>
      <c r="B9" s="2" t="s">
        <v>23</v>
      </c>
      <c r="D9" s="5">
        <f>CEILING(D3*(1-(Simulator!$K$21- $D$1)/$D$1),10)</f>
        <v>150</v>
      </c>
      <c r="E9" s="5">
        <f>CEILING(E3*(1-(Simulator!$Y$21- $E$1)/$E$1),10)</f>
        <v>310</v>
      </c>
    </row>
    <row r="10" spans="1:5" x14ac:dyDescent="0.25">
      <c r="A10" s="1" t="s">
        <v>9</v>
      </c>
      <c r="B10" s="2" t="s">
        <v>24</v>
      </c>
      <c r="D10" s="5">
        <f>CEILING(D4*(1-(Simulator!$K$21- $D$1)/$D$1),10)</f>
        <v>200</v>
      </c>
      <c r="E10" s="5">
        <f>CEILING(E4*(1-(Simulator!$Y$21- $E$1)/$E$1),10)</f>
        <v>410</v>
      </c>
    </row>
    <row r="11" spans="1:5" x14ac:dyDescent="0.25">
      <c r="A11" s="1" t="s">
        <v>10</v>
      </c>
      <c r="B11" s="2" t="s">
        <v>25</v>
      </c>
      <c r="D11" s="5">
        <f>CEILING(D5*(1-(Simulator!$K$21- $D$1)/$D$1),10)</f>
        <v>250</v>
      </c>
      <c r="E11" s="5">
        <f>CEILING(E5*(1-(Simulator!$Y$21- $E$1)/$E$1),10)</f>
        <v>500</v>
      </c>
    </row>
    <row r="12" spans="1:5" x14ac:dyDescent="0.25">
      <c r="A12" s="1" t="s">
        <v>11</v>
      </c>
      <c r="B12" s="2" t="s">
        <v>26</v>
      </c>
      <c r="D12" s="5">
        <f>CEILING(D6*(1-(Simulator!$K$21- $D$1)/$D$1),10)</f>
        <v>300</v>
      </c>
      <c r="E12" s="5">
        <f>CEILING(E6*(1-(Simulator!$Y$21- $E$1)/$E$1),10)</f>
        <v>600</v>
      </c>
    </row>
    <row r="13" spans="1:5" x14ac:dyDescent="0.25">
      <c r="A13" s="1" t="s">
        <v>12</v>
      </c>
      <c r="B13" s="2" t="s">
        <v>27</v>
      </c>
      <c r="D13" s="5">
        <f>CEILING(D7*(1-(Simulator!$K$21- $D$1)/$D$1),10)</f>
        <v>390</v>
      </c>
      <c r="E13" s="5">
        <f>CEILING(E7*(1-(Simulator!$Y$21- $E$1)/$E$1),10)</f>
        <v>790</v>
      </c>
    </row>
    <row r="14" spans="1:5" x14ac:dyDescent="0.25">
      <c r="D14" s="4"/>
    </row>
    <row r="15" spans="1:5" x14ac:dyDescent="0.25">
      <c r="D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Simulator</vt:lpstr>
      <vt:lpstr>Calcul_deduceri</vt:lpstr>
      <vt:lpstr>Calcul_deduceri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AIB</dc:creator>
  <cp:lastModifiedBy>AIB</cp:lastModifiedBy>
  <dcterms:created xsi:type="dcterms:W3CDTF">2017-10-31T13:07:35Z</dcterms:created>
  <dcterms:modified xsi:type="dcterms:W3CDTF">2017-11-20T09:41:32Z</dcterms:modified>
</cp:coreProperties>
</file>